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amradio\Tech\Antennas\Theory\"/>
    </mc:Choice>
  </mc:AlternateContent>
  <xr:revisionPtr revIDLastSave="0" documentId="13_ncr:1_{060841EC-1D97-4D5A-93A7-784531B55A53}" xr6:coauthVersionLast="47" xr6:coauthVersionMax="47" xr10:uidLastSave="{00000000-0000-0000-0000-000000000000}"/>
  <bookViews>
    <workbookView xWindow="28800" yWindow="930" windowWidth="22695" windowHeight="15090" activeTab="2" xr2:uid="{93F50C3C-0887-4338-BD34-D3C95490D578}"/>
  </bookViews>
  <sheets>
    <sheet name="XL to μr" sheetId="1" r:id="rId1"/>
    <sheet name="Core loss (ferrite)" sheetId="2" r:id="rId2"/>
    <sheet name="Core loss (iron)" sheetId="3" r:id="rId3"/>
    <sheet name="Reqd turns" sheetId="5" r:id="rId4"/>
    <sheet name="S-P conversion" sheetId="4" r:id="rId5"/>
  </sheets>
  <calcPr calcId="181029" iterateDelta="9.9999999999999995E-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5" l="1"/>
  <c r="C10" i="5"/>
  <c r="C7" i="5"/>
  <c r="E6" i="5"/>
  <c r="C6" i="5"/>
  <c r="C5" i="4"/>
  <c r="C8" i="4" s="1"/>
  <c r="C14" i="4" s="1"/>
  <c r="H37" i="1"/>
  <c r="H36" i="1"/>
  <c r="H35" i="1"/>
  <c r="H32" i="1"/>
  <c r="H31" i="1"/>
  <c r="H30" i="1"/>
  <c r="H27" i="1"/>
  <c r="H26" i="1"/>
  <c r="H25" i="1"/>
  <c r="C29" i="2"/>
  <c r="C28" i="2"/>
  <c r="C27" i="2"/>
  <c r="C24" i="2"/>
  <c r="C23" i="2"/>
  <c r="C22" i="2"/>
  <c r="J4" i="2"/>
  <c r="L4" i="2" s="1"/>
  <c r="J3" i="2"/>
  <c r="L3" i="2" s="1"/>
  <c r="J2" i="2"/>
  <c r="L2" i="2" s="1"/>
  <c r="R4" i="3"/>
  <c r="R3" i="3"/>
  <c r="R2" i="3"/>
  <c r="R6" i="3" s="1"/>
  <c r="C31" i="1"/>
  <c r="C30" i="1"/>
  <c r="C32" i="1"/>
  <c r="C27" i="1"/>
  <c r="C26" i="1"/>
  <c r="C25" i="1"/>
  <c r="C36" i="3"/>
  <c r="C35" i="3"/>
  <c r="C34" i="3"/>
  <c r="C31" i="3"/>
  <c r="C30" i="3"/>
  <c r="C29" i="3"/>
  <c r="C26" i="3"/>
  <c r="C25" i="3"/>
  <c r="C24" i="3"/>
  <c r="R13" i="3"/>
  <c r="T13" i="3" s="1"/>
  <c r="T10" i="3"/>
  <c r="V10" i="3" s="1"/>
  <c r="C8" i="3"/>
  <c r="E7" i="3"/>
  <c r="D2" i="3"/>
  <c r="L4" i="3"/>
  <c r="N4" i="3" s="1"/>
  <c r="C11" i="1"/>
  <c r="E11" i="1" s="1"/>
  <c r="C10" i="1"/>
  <c r="C9" i="1"/>
  <c r="D17" i="2"/>
  <c r="C13" i="1"/>
  <c r="E13" i="1" s="1"/>
  <c r="C5" i="1"/>
  <c r="C7" i="1" s="1"/>
  <c r="E7" i="1" s="1"/>
  <c r="E8" i="1" s="1"/>
  <c r="C13" i="2"/>
  <c r="C14" i="2" s="1"/>
  <c r="C16" i="2" s="1"/>
  <c r="E16" i="2" s="1"/>
  <c r="C4" i="2"/>
  <c r="E4" i="2" s="1"/>
  <c r="C14" i="1"/>
  <c r="E10" i="1"/>
  <c r="E9" i="1"/>
  <c r="R14" i="3" l="1"/>
  <c r="L5" i="3"/>
  <c r="R7" i="3"/>
  <c r="T7" i="3" s="1"/>
  <c r="C9" i="3" s="1"/>
  <c r="C16" i="4"/>
  <c r="G14" i="4"/>
  <c r="G16" i="4" s="1"/>
  <c r="E13" i="2"/>
  <c r="E7" i="2"/>
  <c r="C7" i="2" s="1"/>
  <c r="C8" i="2" s="1"/>
  <c r="T4" i="3"/>
  <c r="T2" i="3"/>
  <c r="T6" i="3"/>
  <c r="T3" i="3"/>
  <c r="E19" i="1"/>
  <c r="E18" i="1"/>
  <c r="E12" i="1"/>
  <c r="T11" i="3" l="1"/>
  <c r="R12" i="3" s="1"/>
  <c r="T17" i="3"/>
  <c r="T5" i="3"/>
  <c r="R5" i="3" s="1"/>
  <c r="L8" i="3" s="1"/>
  <c r="T18" i="3"/>
  <c r="E20" i="1"/>
  <c r="G20" i="1" s="1"/>
  <c r="C17" i="2" s="1"/>
  <c r="E18" i="2" s="1"/>
  <c r="C15" i="1"/>
  <c r="C12" i="1"/>
  <c r="L9" i="3" l="1"/>
  <c r="C7" i="3" s="1"/>
  <c r="C10" i="3" s="1"/>
  <c r="C11" i="3" s="1"/>
  <c r="T19" i="3"/>
  <c r="V19" i="3" s="1"/>
  <c r="C12" i="3"/>
  <c r="F12" i="3" s="1"/>
  <c r="C13" i="3" l="1"/>
  <c r="C14" i="3" s="1"/>
  <c r="F10" i="3"/>
  <c r="F11" i="3" s="1"/>
  <c r="F13" i="3" s="1"/>
  <c r="F14" i="3" s="1"/>
</calcChain>
</file>

<file path=xl/sharedStrings.xml><?xml version="1.0" encoding="utf-8"?>
<sst xmlns="http://schemas.openxmlformats.org/spreadsheetml/2006/main" count="304" uniqueCount="126">
  <si>
    <t>Inductance</t>
  </si>
  <si>
    <t>H</t>
  </si>
  <si>
    <t>AL =</t>
  </si>
  <si>
    <t>H/n2 =</t>
  </si>
  <si>
    <t>nH/n2</t>
  </si>
  <si>
    <t>OD</t>
  </si>
  <si>
    <t>mm =</t>
  </si>
  <si>
    <t>m</t>
  </si>
  <si>
    <t>ID</t>
  </si>
  <si>
    <t>A =</t>
  </si>
  <si>
    <t>m2</t>
  </si>
  <si>
    <t>μr =</t>
  </si>
  <si>
    <t>μ0 =</t>
  </si>
  <si>
    <t>H/m</t>
  </si>
  <si>
    <t>Turns (n)</t>
  </si>
  <si>
    <t>Inductance parameter</t>
  </si>
  <si>
    <t>Cross section</t>
  </si>
  <si>
    <t>Measured small signal value at 50 kHz</t>
  </si>
  <si>
    <t>Outer diameter of toroid</t>
  </si>
  <si>
    <t>Inner diameter</t>
  </si>
  <si>
    <t>Height</t>
  </si>
  <si>
    <t>For coated cores, subtract 0.5 mm on all sides</t>
  </si>
  <si>
    <t>Relative permeability</t>
  </si>
  <si>
    <t>P</t>
  </si>
  <si>
    <t>W</t>
  </si>
  <si>
    <t>Z</t>
  </si>
  <si>
    <t>ohms</t>
  </si>
  <si>
    <t>n</t>
  </si>
  <si>
    <t>turns</t>
  </si>
  <si>
    <t>E =</t>
  </si>
  <si>
    <t>f</t>
  </si>
  <si>
    <t>Hz</t>
  </si>
  <si>
    <t>A</t>
  </si>
  <si>
    <t>B=</t>
  </si>
  <si>
    <t>Gauss</t>
  </si>
  <si>
    <t>m2 =</t>
  </si>
  <si>
    <t>cm2</t>
  </si>
  <si>
    <t>cm2 =</t>
  </si>
  <si>
    <t>Vrms =</t>
  </si>
  <si>
    <t>Side area =</t>
  </si>
  <si>
    <t>Top/bottom area =</t>
  </si>
  <si>
    <t>Total surface area =</t>
  </si>
  <si>
    <t>Vpk</t>
  </si>
  <si>
    <t>μr' @ f</t>
  </si>
  <si>
    <t>μr" @ f</t>
  </si>
  <si>
    <t>μi</t>
  </si>
  <si>
    <t>Dissipation =</t>
  </si>
  <si>
    <t>W =</t>
  </si>
  <si>
    <t>mW</t>
  </si>
  <si>
    <t>T-rise =</t>
  </si>
  <si>
    <t>K</t>
  </si>
  <si>
    <t>Tan(δ)/ui =</t>
  </si>
  <si>
    <r>
      <t>Tan(</t>
    </r>
    <r>
      <rPr>
        <sz val="11"/>
        <color theme="1"/>
        <rFont val="Calibri"/>
        <family val="2"/>
      </rPr>
      <t>δ)</t>
    </r>
    <r>
      <rPr>
        <sz val="11"/>
        <color theme="1"/>
        <rFont val="Calibri"/>
        <family val="2"/>
        <scheme val="minor"/>
      </rPr>
      <t xml:space="preserve"> =</t>
    </r>
  </si>
  <si>
    <t>Loss factor</t>
  </si>
  <si>
    <t>l =</t>
  </si>
  <si>
    <t>Q=</t>
  </si>
  <si>
    <t>μH/100t</t>
  </si>
  <si>
    <t>cf. Amidon iron powder datasheets</t>
  </si>
  <si>
    <t>H, measured</t>
  </si>
  <si>
    <t>H, wiring</t>
  </si>
  <si>
    <t>H, DUT</t>
  </si>
  <si>
    <t>H, pigtails</t>
  </si>
  <si>
    <t>Permeability of free space</t>
  </si>
  <si>
    <t>Ferrite</t>
  </si>
  <si>
    <t>Sfc. Area</t>
  </si>
  <si>
    <t>Volume</t>
  </si>
  <si>
    <t>cm3</t>
  </si>
  <si>
    <t>Material 26</t>
  </si>
  <si>
    <t>a</t>
  </si>
  <si>
    <t>b</t>
  </si>
  <si>
    <t>c</t>
  </si>
  <si>
    <t>d</t>
  </si>
  <si>
    <t>B</t>
  </si>
  <si>
    <t>Volume=</t>
  </si>
  <si>
    <t>mm3 =</t>
  </si>
  <si>
    <t>Wire length</t>
  </si>
  <si>
    <t>Copper resistivity</t>
  </si>
  <si>
    <t>Core loss =</t>
  </si>
  <si>
    <t>mW/cm3</t>
  </si>
  <si>
    <t>Wire thickness</t>
  </si>
  <si>
    <t>Material 2</t>
  </si>
  <si>
    <t>f=</t>
  </si>
  <si>
    <t>MHz</t>
  </si>
  <si>
    <t>Gs @</t>
  </si>
  <si>
    <t xml:space="preserve">W and </t>
  </si>
  <si>
    <t>W @</t>
  </si>
  <si>
    <t>mm=</t>
  </si>
  <si>
    <t>m=</t>
  </si>
  <si>
    <t>Wire resistance =</t>
  </si>
  <si>
    <t>Ω</t>
  </si>
  <si>
    <t>Skin depth =</t>
  </si>
  <si>
    <t>mm</t>
  </si>
  <si>
    <t>Effective resistance=</t>
  </si>
  <si>
    <t>T130 dimensions</t>
  </si>
  <si>
    <t>T200 dimensions</t>
  </si>
  <si>
    <t>T200A dimensions</t>
  </si>
  <si>
    <t>FT140 dimensions</t>
  </si>
  <si>
    <t>FT240 dimensions</t>
  </si>
  <si>
    <t>TN/TX 36/23/15 dimensions</t>
  </si>
  <si>
    <t>(alternative calc)</t>
  </si>
  <si>
    <t>AL</t>
  </si>
  <si>
    <t>XL=</t>
  </si>
  <si>
    <t>L =</t>
  </si>
  <si>
    <t>Qp=</t>
  </si>
  <si>
    <t>Rp</t>
  </si>
  <si>
    <t>Rs=</t>
  </si>
  <si>
    <t>Rs</t>
  </si>
  <si>
    <t>Rp=</t>
  </si>
  <si>
    <t>=Qs=</t>
  </si>
  <si>
    <t>The following transformations are valid in narrow band of frequencies around resonance.</t>
  </si>
  <si>
    <t>i=</t>
  </si>
  <si>
    <t>Arms</t>
  </si>
  <si>
    <t>Conduction loss=</t>
  </si>
  <si>
    <r>
      <rPr>
        <sz val="11"/>
        <color theme="1"/>
        <rFont val="Calibri"/>
        <family val="2"/>
        <scheme val="minor"/>
      </rPr>
      <t>Ω.m</t>
    </r>
  </si>
  <si>
    <t>Core dissipation=</t>
  </si>
  <si>
    <t>Total losses=</t>
  </si>
  <si>
    <t>or</t>
  </si>
  <si>
    <t>Silver resistivity</t>
  </si>
  <si>
    <t>Frequency</t>
  </si>
  <si>
    <t>turns =</t>
  </si>
  <si>
    <t>H =</t>
  </si>
  <si>
    <t>nH</t>
  </si>
  <si>
    <t>Resonance</t>
  </si>
  <si>
    <t>C =</t>
  </si>
  <si>
    <t>F =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</si>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</sst>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0"/>
    <numFmt numFmtId="167" formatCode="0.0000E+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quotePrefix="1"/>
    <xf numFmtId="0" fontId="3" fillId="0" borderId="0" xfId="0" applyFont="1"/>
    <xf numFmtId="2" fontId="2" fillId="0" borderId="0" xfId="0" applyNumberFormat="1" applyFont="1"/>
    <xf numFmtId="0" fontId="2" fillId="0" borderId="0" xfId="0" applyFont="1"/>
    <xf numFmtId="11" fontId="2" fillId="0" borderId="0" xfId="0" applyNumberFormat="1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167" fontId="0" fillId="0" borderId="0" xfId="0" applyNumberFormat="1"/>
    <xf numFmtId="0" fontId="0" fillId="0" borderId="0" xfId="0" applyAlignment="1">
      <alignment horizontal="right"/>
    </xf>
    <xf numFmtId="0" fontId="6" fillId="0" borderId="0" xfId="0" applyFon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2" fontId="0" fillId="2" borderId="0" xfId="0" applyNumberFormat="1" applyFill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93FE-E5C0-4DA2-9FC8-1C7CEFA0830A}">
  <dimension ref="B2:J37"/>
  <sheetViews>
    <sheetView workbookViewId="0">
      <selection activeCell="C3" sqref="C3"/>
    </sheetView>
  </sheetViews>
  <sheetFormatPr defaultRowHeight="15" x14ac:dyDescent="0.25"/>
  <cols>
    <col min="2" max="2" width="12.42578125" customWidth="1"/>
    <col min="3" max="3" width="12" bestFit="1" customWidth="1"/>
  </cols>
  <sheetData>
    <row r="2" spans="2:10" x14ac:dyDescent="0.25">
      <c r="B2" t="s">
        <v>0</v>
      </c>
      <c r="C2" s="1">
        <v>9.1000000000000003E-5</v>
      </c>
      <c r="D2" t="s">
        <v>58</v>
      </c>
      <c r="G2" t="s">
        <v>17</v>
      </c>
    </row>
    <row r="3" spans="2:10" x14ac:dyDescent="0.25">
      <c r="B3" t="s">
        <v>0</v>
      </c>
      <c r="C3" s="1">
        <v>5.7999999999999995E-7</v>
      </c>
      <c r="D3" t="s">
        <v>59</v>
      </c>
    </row>
    <row r="4" spans="2:10" x14ac:dyDescent="0.25">
      <c r="B4" t="s">
        <v>0</v>
      </c>
      <c r="C4" s="1">
        <v>4.0000000000000001E-8</v>
      </c>
      <c r="D4" t="s">
        <v>61</v>
      </c>
    </row>
    <row r="5" spans="2:10" x14ac:dyDescent="0.25">
      <c r="B5" t="s">
        <v>0</v>
      </c>
      <c r="C5" s="1">
        <f>C2-(C3+C4)</f>
        <v>9.0379999999999999E-5</v>
      </c>
      <c r="D5" t="s">
        <v>60</v>
      </c>
    </row>
    <row r="6" spans="2:10" x14ac:dyDescent="0.25">
      <c r="B6" t="s">
        <v>14</v>
      </c>
      <c r="C6">
        <v>10</v>
      </c>
    </row>
    <row r="7" spans="2:10" x14ac:dyDescent="0.25">
      <c r="B7" s="7" t="s">
        <v>2</v>
      </c>
      <c r="C7" s="8">
        <f>C5/(C6^2)</f>
        <v>9.0380000000000003E-7</v>
      </c>
      <c r="D7" s="7" t="s">
        <v>3</v>
      </c>
      <c r="E7" s="6">
        <f>C7*1000000000</f>
        <v>903.80000000000007</v>
      </c>
      <c r="F7" s="7" t="s">
        <v>4</v>
      </c>
      <c r="G7" s="7" t="s">
        <v>15</v>
      </c>
    </row>
    <row r="8" spans="2:10" x14ac:dyDescent="0.25">
      <c r="B8" s="7"/>
      <c r="C8" s="8"/>
      <c r="D8" s="7"/>
      <c r="E8" s="6">
        <f>E7*10</f>
        <v>9038</v>
      </c>
      <c r="F8" s="5" t="s">
        <v>56</v>
      </c>
      <c r="G8" s="7" t="s">
        <v>57</v>
      </c>
    </row>
    <row r="9" spans="2:10" x14ac:dyDescent="0.25">
      <c r="B9" t="s">
        <v>5</v>
      </c>
      <c r="C9" s="3">
        <f>1.4*25.4</f>
        <v>35.559999999999995</v>
      </c>
      <c r="D9" t="s">
        <v>6</v>
      </c>
      <c r="E9">
        <f>C9/1000</f>
        <v>3.5559999999999994E-2</v>
      </c>
      <c r="F9" t="s">
        <v>7</v>
      </c>
      <c r="G9" t="s">
        <v>18</v>
      </c>
      <c r="J9" s="9"/>
    </row>
    <row r="10" spans="2:10" x14ac:dyDescent="0.25">
      <c r="B10" t="s">
        <v>8</v>
      </c>
      <c r="C10" s="3">
        <f>0.9*25.4</f>
        <v>22.86</v>
      </c>
      <c r="D10" t="s">
        <v>6</v>
      </c>
      <c r="E10">
        <f>C10/1000</f>
        <v>2.2859999999999998E-2</v>
      </c>
      <c r="F10" t="s">
        <v>7</v>
      </c>
      <c r="G10" t="s">
        <v>19</v>
      </c>
      <c r="J10" s="9" t="s">
        <v>21</v>
      </c>
    </row>
    <row r="11" spans="2:10" x14ac:dyDescent="0.25">
      <c r="B11" t="s">
        <v>1</v>
      </c>
      <c r="C11" s="3">
        <f>0.5*25.4</f>
        <v>12.7</v>
      </c>
      <c r="D11" t="s">
        <v>6</v>
      </c>
      <c r="E11">
        <f>C11/1000</f>
        <v>1.2699999999999999E-2</v>
      </c>
      <c r="F11" t="s">
        <v>7</v>
      </c>
      <c r="G11" t="s">
        <v>20</v>
      </c>
      <c r="J11" s="9"/>
    </row>
    <row r="12" spans="2:10" x14ac:dyDescent="0.25">
      <c r="B12" t="s">
        <v>9</v>
      </c>
      <c r="C12">
        <f>E12*10000</f>
        <v>0.80644999999999967</v>
      </c>
      <c r="D12" t="s">
        <v>37</v>
      </c>
      <c r="E12">
        <f>E11*(E9-E10)/2</f>
        <v>8.0644999999999971E-5</v>
      </c>
      <c r="F12" t="s">
        <v>10</v>
      </c>
      <c r="G12" t="s">
        <v>16</v>
      </c>
    </row>
    <row r="13" spans="2:10" x14ac:dyDescent="0.25">
      <c r="B13" s="12" t="s">
        <v>54</v>
      </c>
      <c r="C13" s="3">
        <f>PI()*(C9-C10)/LN(C9/C10)</f>
        <v>90.301650329880175</v>
      </c>
      <c r="D13" t="s">
        <v>6</v>
      </c>
      <c r="E13">
        <f>C13/1000</f>
        <v>9.0301650329880176E-2</v>
      </c>
      <c r="F13" t="s">
        <v>7</v>
      </c>
      <c r="G13" s="4"/>
    </row>
    <row r="14" spans="2:10" x14ac:dyDescent="0.25">
      <c r="B14" s="2" t="s">
        <v>12</v>
      </c>
      <c r="C14">
        <f>4*PI()*0.0000001</f>
        <v>1.2566370614359173E-6</v>
      </c>
      <c r="D14" t="s">
        <v>13</v>
      </c>
      <c r="G14" t="s">
        <v>62</v>
      </c>
    </row>
    <row r="15" spans="2:10" x14ac:dyDescent="0.25">
      <c r="B15" s="5" t="s">
        <v>11</v>
      </c>
      <c r="C15" s="6">
        <f>C7*E13/(C14*E12)</f>
        <v>805.34267733239744</v>
      </c>
      <c r="D15" s="7"/>
      <c r="E15" s="7"/>
      <c r="F15" s="7"/>
      <c r="G15" s="7" t="s">
        <v>22</v>
      </c>
      <c r="H15" s="7"/>
    </row>
    <row r="18" spans="2:9" x14ac:dyDescent="0.25">
      <c r="B18" t="s">
        <v>40</v>
      </c>
      <c r="E18">
        <f>(PI()*E9^2)/4-(PI()*E10^2)/4</f>
        <v>5.8271360096212219E-4</v>
      </c>
      <c r="F18" t="s">
        <v>10</v>
      </c>
    </row>
    <row r="19" spans="2:9" x14ac:dyDescent="0.25">
      <c r="B19" s="10" t="s">
        <v>39</v>
      </c>
      <c r="C19" s="10"/>
      <c r="D19" s="10"/>
      <c r="E19" s="10">
        <f>(E9+E10)*PI()*E11</f>
        <v>2.3308544038484892E-3</v>
      </c>
      <c r="F19" s="10" t="s">
        <v>10</v>
      </c>
      <c r="G19" s="10"/>
      <c r="H19" s="10"/>
    </row>
    <row r="20" spans="2:9" x14ac:dyDescent="0.25">
      <c r="B20" t="s">
        <v>41</v>
      </c>
      <c r="E20">
        <f>E19+E18</f>
        <v>2.9135680048106112E-3</v>
      </c>
      <c r="F20" t="s">
        <v>35</v>
      </c>
      <c r="G20">
        <f>E20*10000</f>
        <v>29.13568004810611</v>
      </c>
      <c r="H20" t="s">
        <v>36</v>
      </c>
    </row>
    <row r="24" spans="2:9" x14ac:dyDescent="0.25">
      <c r="B24" t="s">
        <v>96</v>
      </c>
      <c r="G24" t="s">
        <v>93</v>
      </c>
    </row>
    <row r="25" spans="2:9" x14ac:dyDescent="0.25">
      <c r="B25" t="s">
        <v>5</v>
      </c>
      <c r="C25">
        <f>1.4*25.4</f>
        <v>35.559999999999995</v>
      </c>
      <c r="D25" t="s">
        <v>91</v>
      </c>
      <c r="G25" t="s">
        <v>5</v>
      </c>
      <c r="H25">
        <f>1.3*25.4</f>
        <v>33.019999999999996</v>
      </c>
      <c r="I25" t="s">
        <v>91</v>
      </c>
    </row>
    <row r="26" spans="2:9" x14ac:dyDescent="0.25">
      <c r="B26" t="s">
        <v>8</v>
      </c>
      <c r="C26">
        <f>0.9*25.4</f>
        <v>22.86</v>
      </c>
      <c r="D26" t="s">
        <v>91</v>
      </c>
      <c r="G26" t="s">
        <v>8</v>
      </c>
      <c r="H26">
        <f>0.78*25.4</f>
        <v>19.812000000000001</v>
      </c>
      <c r="I26" t="s">
        <v>91</v>
      </c>
    </row>
    <row r="27" spans="2:9" x14ac:dyDescent="0.25">
      <c r="B27" t="s">
        <v>1</v>
      </c>
      <c r="C27">
        <f>0.5*25.4</f>
        <v>12.7</v>
      </c>
      <c r="D27" t="s">
        <v>91</v>
      </c>
      <c r="G27" t="s">
        <v>1</v>
      </c>
      <c r="H27">
        <f>0.437*25.4</f>
        <v>11.0998</v>
      </c>
      <c r="I27" t="s">
        <v>91</v>
      </c>
    </row>
    <row r="29" spans="2:9" x14ac:dyDescent="0.25">
      <c r="B29" t="s">
        <v>97</v>
      </c>
      <c r="G29" t="s">
        <v>94</v>
      </c>
    </row>
    <row r="30" spans="2:9" x14ac:dyDescent="0.25">
      <c r="B30" t="s">
        <v>5</v>
      </c>
      <c r="C30">
        <f>2.4*25.4</f>
        <v>60.959999999999994</v>
      </c>
      <c r="D30" t="s">
        <v>91</v>
      </c>
      <c r="G30" t="s">
        <v>5</v>
      </c>
      <c r="H30">
        <f>2*25.4</f>
        <v>50.8</v>
      </c>
      <c r="I30" t="s">
        <v>91</v>
      </c>
    </row>
    <row r="31" spans="2:9" x14ac:dyDescent="0.25">
      <c r="B31" t="s">
        <v>8</v>
      </c>
      <c r="C31">
        <f>1.4*25.4</f>
        <v>35.559999999999995</v>
      </c>
      <c r="D31" t="s">
        <v>91</v>
      </c>
      <c r="G31" t="s">
        <v>8</v>
      </c>
      <c r="H31">
        <f>1.25*25.4</f>
        <v>31.75</v>
      </c>
      <c r="I31" t="s">
        <v>91</v>
      </c>
    </row>
    <row r="32" spans="2:9" x14ac:dyDescent="0.25">
      <c r="B32" t="s">
        <v>1</v>
      </c>
      <c r="C32">
        <f>0.5*25.4</f>
        <v>12.7</v>
      </c>
      <c r="D32" t="s">
        <v>91</v>
      </c>
      <c r="G32" t="s">
        <v>1</v>
      </c>
      <c r="H32">
        <f>0.55*25.4</f>
        <v>13.97</v>
      </c>
      <c r="I32" t="s">
        <v>91</v>
      </c>
    </row>
    <row r="34" spans="2:9" x14ac:dyDescent="0.25">
      <c r="B34" t="s">
        <v>98</v>
      </c>
      <c r="G34" t="s">
        <v>95</v>
      </c>
    </row>
    <row r="35" spans="2:9" x14ac:dyDescent="0.25">
      <c r="B35" t="s">
        <v>5</v>
      </c>
      <c r="C35">
        <v>36</v>
      </c>
      <c r="D35" t="s">
        <v>91</v>
      </c>
      <c r="G35" t="s">
        <v>5</v>
      </c>
      <c r="H35">
        <f>2*25.4</f>
        <v>50.8</v>
      </c>
      <c r="I35" t="s">
        <v>91</v>
      </c>
    </row>
    <row r="36" spans="2:9" x14ac:dyDescent="0.25">
      <c r="B36" t="s">
        <v>8</v>
      </c>
      <c r="C36">
        <v>23</v>
      </c>
      <c r="D36" t="s">
        <v>91</v>
      </c>
      <c r="G36" t="s">
        <v>8</v>
      </c>
      <c r="H36">
        <f>1.25*25.4</f>
        <v>31.75</v>
      </c>
      <c r="I36" t="s">
        <v>91</v>
      </c>
    </row>
    <row r="37" spans="2:9" x14ac:dyDescent="0.25">
      <c r="B37" t="s">
        <v>1</v>
      </c>
      <c r="C37">
        <v>15</v>
      </c>
      <c r="D37" t="s">
        <v>91</v>
      </c>
      <c r="G37" t="s">
        <v>1</v>
      </c>
      <c r="H37">
        <f>1*25.4</f>
        <v>25.4</v>
      </c>
      <c r="I37" t="s">
        <v>91</v>
      </c>
    </row>
  </sheetData>
  <pageMargins left="0.7" right="0.7" top="0.75" bottom="0.75" header="0.3" footer="0.3"/>
  <pageSetup paperSize="9" orientation="portrait" horizontalDpi="0" verticalDpi="0" r:id="rId1"/>
  <ignoredErrors>
    <ignoredError sqref="E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A364F-1E0B-43EE-A92A-5BF968A88A8A}">
  <dimension ref="B1:N34"/>
  <sheetViews>
    <sheetView workbookViewId="0">
      <selection activeCell="C24" sqref="C24"/>
    </sheetView>
  </sheetViews>
  <sheetFormatPr defaultRowHeight="15" x14ac:dyDescent="0.25"/>
  <cols>
    <col min="2" max="2" width="13.85546875" customWidth="1"/>
    <col min="3" max="3" width="12.140625" customWidth="1"/>
    <col min="5" max="5" width="12" bestFit="1" customWidth="1"/>
  </cols>
  <sheetData>
    <row r="1" spans="2:14" x14ac:dyDescent="0.25">
      <c r="B1" s="7" t="s">
        <v>63</v>
      </c>
    </row>
    <row r="2" spans="2:14" x14ac:dyDescent="0.25">
      <c r="B2" t="s">
        <v>23</v>
      </c>
      <c r="C2">
        <v>100</v>
      </c>
      <c r="D2" t="s">
        <v>24</v>
      </c>
      <c r="I2" t="s">
        <v>5</v>
      </c>
      <c r="J2" s="3">
        <f>1.4*25.4</f>
        <v>35.559999999999995</v>
      </c>
      <c r="K2" t="s">
        <v>6</v>
      </c>
      <c r="L2">
        <f>J2/1000</f>
        <v>3.5559999999999994E-2</v>
      </c>
      <c r="M2" t="s">
        <v>7</v>
      </c>
      <c r="N2" t="s">
        <v>18</v>
      </c>
    </row>
    <row r="3" spans="2:14" x14ac:dyDescent="0.25">
      <c r="B3" t="s">
        <v>25</v>
      </c>
      <c r="C3">
        <v>50</v>
      </c>
      <c r="D3" t="s">
        <v>26</v>
      </c>
      <c r="I3" t="s">
        <v>8</v>
      </c>
      <c r="J3" s="3">
        <f>0.9*25.4</f>
        <v>22.86</v>
      </c>
      <c r="K3" t="s">
        <v>6</v>
      </c>
      <c r="L3">
        <f>J3/1000</f>
        <v>2.2859999999999998E-2</v>
      </c>
      <c r="M3" t="s">
        <v>7</v>
      </c>
      <c r="N3" t="s">
        <v>19</v>
      </c>
    </row>
    <row r="4" spans="2:14" x14ac:dyDescent="0.25">
      <c r="B4" t="s">
        <v>29</v>
      </c>
      <c r="C4">
        <f>SQRT(C3*C2)</f>
        <v>70.710678118654755</v>
      </c>
      <c r="D4" t="s">
        <v>38</v>
      </c>
      <c r="E4">
        <f>C4*SQRT(2)</f>
        <v>100.00000000000001</v>
      </c>
      <c r="F4" t="s">
        <v>42</v>
      </c>
      <c r="I4" t="s">
        <v>1</v>
      </c>
      <c r="J4" s="3">
        <f>0.5*25.4</f>
        <v>12.7</v>
      </c>
      <c r="K4" t="s">
        <v>6</v>
      </c>
      <c r="L4">
        <f>J4/1000</f>
        <v>1.2699999999999999E-2</v>
      </c>
      <c r="M4" t="s">
        <v>7</v>
      </c>
      <c r="N4" t="s">
        <v>20</v>
      </c>
    </row>
    <row r="5" spans="2:14" x14ac:dyDescent="0.25">
      <c r="B5" t="s">
        <v>27</v>
      </c>
      <c r="C5">
        <v>5</v>
      </c>
      <c r="D5" t="s">
        <v>28</v>
      </c>
    </row>
    <row r="6" spans="2:14" x14ac:dyDescent="0.25">
      <c r="B6" t="s">
        <v>30</v>
      </c>
      <c r="C6" s="1">
        <v>28000000</v>
      </c>
      <c r="D6" t="s">
        <v>31</v>
      </c>
    </row>
    <row r="7" spans="2:14" x14ac:dyDescent="0.25">
      <c r="B7" t="s">
        <v>9</v>
      </c>
      <c r="C7">
        <f>E7*10000</f>
        <v>0.80644999999999967</v>
      </c>
      <c r="D7" t="s">
        <v>37</v>
      </c>
      <c r="E7">
        <f>L4*(L2-L3)/2</f>
        <v>8.0644999999999971E-5</v>
      </c>
      <c r="F7" t="s">
        <v>10</v>
      </c>
      <c r="G7" t="s">
        <v>16</v>
      </c>
    </row>
    <row r="8" spans="2:14" x14ac:dyDescent="0.25">
      <c r="B8" t="s">
        <v>33</v>
      </c>
      <c r="C8" s="3">
        <f>E4*100000000/(4.44*C7*C5*C6)</f>
        <v>19.948559845639647</v>
      </c>
      <c r="D8" t="s">
        <v>34</v>
      </c>
    </row>
    <row r="10" spans="2:14" x14ac:dyDescent="0.25">
      <c r="B10" t="s">
        <v>45</v>
      </c>
      <c r="C10">
        <v>850</v>
      </c>
    </row>
    <row r="11" spans="2:14" x14ac:dyDescent="0.25">
      <c r="B11" t="s">
        <v>43</v>
      </c>
      <c r="C11">
        <v>120</v>
      </c>
    </row>
    <row r="12" spans="2:14" x14ac:dyDescent="0.25">
      <c r="B12" t="s">
        <v>44</v>
      </c>
      <c r="C12">
        <v>160</v>
      </c>
    </row>
    <row r="13" spans="2:14" x14ac:dyDescent="0.25">
      <c r="B13" t="s">
        <v>52</v>
      </c>
      <c r="C13">
        <f>C12/C11</f>
        <v>1.3333333333333333</v>
      </c>
      <c r="D13" s="13" t="s">
        <v>55</v>
      </c>
      <c r="E13">
        <f>1/C13</f>
        <v>0.75</v>
      </c>
    </row>
    <row r="14" spans="2:14" x14ac:dyDescent="0.25">
      <c r="B14" t="s">
        <v>51</v>
      </c>
      <c r="C14">
        <f>C13/C10</f>
        <v>1.5686274509803921E-3</v>
      </c>
      <c r="E14" t="s">
        <v>53</v>
      </c>
    </row>
    <row r="16" spans="2:14" x14ac:dyDescent="0.25">
      <c r="B16" t="s">
        <v>46</v>
      </c>
      <c r="C16">
        <f>C2*C14</f>
        <v>0.15686274509803921</v>
      </c>
      <c r="D16" t="s">
        <v>47</v>
      </c>
      <c r="E16">
        <f>C16*1000</f>
        <v>156.86274509803923</v>
      </c>
      <c r="F16" t="s">
        <v>48</v>
      </c>
    </row>
    <row r="17" spans="2:6" x14ac:dyDescent="0.25">
      <c r="B17" t="s">
        <v>64</v>
      </c>
      <c r="C17">
        <f>'XL to μr'!G20</f>
        <v>29.13568004810611</v>
      </c>
      <c r="D17" t="str">
        <f>'XL to μr'!H20</f>
        <v>cm2</v>
      </c>
    </row>
    <row r="18" spans="2:6" x14ac:dyDescent="0.25">
      <c r="B18" t="s">
        <v>49</v>
      </c>
      <c r="E18" s="11">
        <f>(E16/C17)^0.833</f>
        <v>4.0644505564510345</v>
      </c>
      <c r="F18" t="s">
        <v>50</v>
      </c>
    </row>
    <row r="21" spans="2:6" x14ac:dyDescent="0.25">
      <c r="B21" t="s">
        <v>96</v>
      </c>
    </row>
    <row r="22" spans="2:6" x14ac:dyDescent="0.25">
      <c r="B22" t="s">
        <v>5</v>
      </c>
      <c r="C22">
        <f>1.4*25.4</f>
        <v>35.559999999999995</v>
      </c>
      <c r="D22" t="s">
        <v>91</v>
      </c>
    </row>
    <row r="23" spans="2:6" x14ac:dyDescent="0.25">
      <c r="B23" t="s">
        <v>8</v>
      </c>
      <c r="C23">
        <f>0.9*25.4</f>
        <v>22.86</v>
      </c>
      <c r="D23" t="s">
        <v>91</v>
      </c>
    </row>
    <row r="24" spans="2:6" x14ac:dyDescent="0.25">
      <c r="B24" t="s">
        <v>1</v>
      </c>
      <c r="C24">
        <f>0.5*25.4</f>
        <v>12.7</v>
      </c>
      <c r="D24" t="s">
        <v>91</v>
      </c>
    </row>
    <row r="26" spans="2:6" x14ac:dyDescent="0.25">
      <c r="B26" t="s">
        <v>97</v>
      </c>
    </row>
    <row r="27" spans="2:6" x14ac:dyDescent="0.25">
      <c r="B27" t="s">
        <v>5</v>
      </c>
      <c r="C27">
        <f>2.4*25.4</f>
        <v>60.959999999999994</v>
      </c>
      <c r="D27" t="s">
        <v>91</v>
      </c>
    </row>
    <row r="28" spans="2:6" x14ac:dyDescent="0.25">
      <c r="B28" t="s">
        <v>8</v>
      </c>
      <c r="C28">
        <f>1.4*25.4</f>
        <v>35.559999999999995</v>
      </c>
      <c r="D28" t="s">
        <v>91</v>
      </c>
    </row>
    <row r="29" spans="2:6" x14ac:dyDescent="0.25">
      <c r="B29" t="s">
        <v>1</v>
      </c>
      <c r="C29">
        <f>0.5*25.4</f>
        <v>12.7</v>
      </c>
      <c r="D29" t="s">
        <v>91</v>
      </c>
    </row>
    <row r="31" spans="2:6" x14ac:dyDescent="0.25">
      <c r="B31" t="s">
        <v>98</v>
      </c>
    </row>
    <row r="32" spans="2:6" x14ac:dyDescent="0.25">
      <c r="B32" t="s">
        <v>5</v>
      </c>
      <c r="C32">
        <v>36</v>
      </c>
      <c r="D32" t="s">
        <v>91</v>
      </c>
    </row>
    <row r="33" spans="2:4" x14ac:dyDescent="0.25">
      <c r="B33" t="s">
        <v>8</v>
      </c>
      <c r="C33">
        <v>23</v>
      </c>
      <c r="D33" t="s">
        <v>91</v>
      </c>
    </row>
    <row r="34" spans="2:4" x14ac:dyDescent="0.25">
      <c r="B34" t="s">
        <v>1</v>
      </c>
      <c r="C34">
        <v>15</v>
      </c>
      <c r="D34" t="s">
        <v>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6CF51-5C4A-4712-9F45-9DB464894435}">
  <dimension ref="B2:Y36"/>
  <sheetViews>
    <sheetView tabSelected="1" workbookViewId="0">
      <selection activeCell="C29" sqref="C29:C31"/>
    </sheetView>
  </sheetViews>
  <sheetFormatPr defaultRowHeight="15" x14ac:dyDescent="0.25"/>
  <cols>
    <col min="2" max="2" width="17.28515625" bestFit="1" customWidth="1"/>
    <col min="4" max="4" width="5.5703125" bestFit="1" customWidth="1"/>
    <col min="5" max="5" width="4.85546875" bestFit="1" customWidth="1"/>
    <col min="6" max="6" width="8" bestFit="1" customWidth="1"/>
    <col min="7" max="7" width="3" bestFit="1" customWidth="1"/>
    <col min="9" max="9" width="4" bestFit="1" customWidth="1"/>
    <col min="10" max="10" width="8" bestFit="1" customWidth="1"/>
    <col min="17" max="17" width="19.5703125" bestFit="1" customWidth="1"/>
    <col min="18" max="18" width="11" bestFit="1" customWidth="1"/>
    <col min="20" max="20" width="12" bestFit="1" customWidth="1"/>
    <col min="22" max="22" width="11" bestFit="1" customWidth="1"/>
  </cols>
  <sheetData>
    <row r="2" spans="2:25" x14ac:dyDescent="0.25">
      <c r="B2" t="s">
        <v>80</v>
      </c>
      <c r="C2" s="16" t="s">
        <v>81</v>
      </c>
      <c r="D2" s="3">
        <f>L7/1000000</f>
        <v>2</v>
      </c>
      <c r="E2" t="s">
        <v>82</v>
      </c>
      <c r="K2" t="s">
        <v>23</v>
      </c>
      <c r="L2">
        <v>100</v>
      </c>
      <c r="M2" t="s">
        <v>24</v>
      </c>
      <c r="Q2" t="s">
        <v>5</v>
      </c>
      <c r="R2">
        <f>2*25.4</f>
        <v>50.8</v>
      </c>
      <c r="S2" t="s">
        <v>6</v>
      </c>
      <c r="T2">
        <f>R2/1000</f>
        <v>5.0799999999999998E-2</v>
      </c>
      <c r="U2" t="s">
        <v>7</v>
      </c>
      <c r="V2" t="s">
        <v>18</v>
      </c>
      <c r="Y2" s="9"/>
    </row>
    <row r="3" spans="2:25" x14ac:dyDescent="0.25">
      <c r="B3" t="s">
        <v>68</v>
      </c>
      <c r="C3" s="1">
        <v>4000000000</v>
      </c>
      <c r="K3" t="s">
        <v>25</v>
      </c>
      <c r="L3">
        <v>50</v>
      </c>
      <c r="M3" t="s">
        <v>26</v>
      </c>
      <c r="Q3" t="s">
        <v>8</v>
      </c>
      <c r="R3">
        <f>1.25*25.4</f>
        <v>31.75</v>
      </c>
      <c r="S3" t="s">
        <v>6</v>
      </c>
      <c r="T3">
        <f>R3/1000</f>
        <v>3.175E-2</v>
      </c>
      <c r="U3" t="s">
        <v>7</v>
      </c>
      <c r="V3" t="s">
        <v>19</v>
      </c>
      <c r="Y3" s="9" t="s">
        <v>21</v>
      </c>
    </row>
    <row r="4" spans="2:25" x14ac:dyDescent="0.25">
      <c r="B4" t="s">
        <v>69</v>
      </c>
      <c r="C4" s="1">
        <v>300000000</v>
      </c>
      <c r="K4" t="s">
        <v>29</v>
      </c>
      <c r="L4">
        <f>SQRT(L3*L2)</f>
        <v>70.710678118654755</v>
      </c>
      <c r="M4" t="s">
        <v>38</v>
      </c>
      <c r="N4">
        <f>L4*SQRT(2)</f>
        <v>100.00000000000001</v>
      </c>
      <c r="O4" t="s">
        <v>42</v>
      </c>
      <c r="Q4" t="s">
        <v>1</v>
      </c>
      <c r="R4">
        <f>0.55*25.4</f>
        <v>13.97</v>
      </c>
      <c r="S4" t="s">
        <v>6</v>
      </c>
      <c r="T4">
        <f>R4/1000</f>
        <v>1.397E-2</v>
      </c>
      <c r="U4" t="s">
        <v>7</v>
      </c>
      <c r="V4" t="s">
        <v>20</v>
      </c>
      <c r="Y4" s="9"/>
    </row>
    <row r="5" spans="2:25" x14ac:dyDescent="0.25">
      <c r="B5" t="s">
        <v>70</v>
      </c>
      <c r="C5" s="1">
        <v>2700000</v>
      </c>
      <c r="K5" t="s">
        <v>110</v>
      </c>
      <c r="L5">
        <f>L4/L3</f>
        <v>1.4142135623730951</v>
      </c>
      <c r="M5" t="s">
        <v>111</v>
      </c>
      <c r="Q5" t="s">
        <v>9</v>
      </c>
      <c r="R5">
        <f>T5*10000</f>
        <v>1.3306425</v>
      </c>
      <c r="S5" t="s">
        <v>37</v>
      </c>
      <c r="T5">
        <f>T4*(T2-T3)/2</f>
        <v>1.3306424999999999E-4</v>
      </c>
      <c r="U5" t="s">
        <v>10</v>
      </c>
      <c r="V5" t="s">
        <v>16</v>
      </c>
    </row>
    <row r="6" spans="2:25" x14ac:dyDescent="0.25">
      <c r="B6" t="s">
        <v>71</v>
      </c>
      <c r="C6" s="1">
        <v>9.6000000000000002E-16</v>
      </c>
      <c r="K6" t="s">
        <v>27</v>
      </c>
      <c r="L6">
        <v>13</v>
      </c>
      <c r="M6" t="s">
        <v>28</v>
      </c>
      <c r="Q6" s="17" t="s">
        <v>54</v>
      </c>
      <c r="R6" s="3">
        <f>PI()*(R2-R3)/LN(R2/R3)</f>
        <v>127.33378281978142</v>
      </c>
      <c r="S6" t="s">
        <v>6</v>
      </c>
      <c r="T6">
        <f>R6/1000</f>
        <v>0.12733378281978142</v>
      </c>
      <c r="U6" t="s">
        <v>7</v>
      </c>
      <c r="V6" s="4"/>
    </row>
    <row r="7" spans="2:25" x14ac:dyDescent="0.25">
      <c r="B7" t="s">
        <v>72</v>
      </c>
      <c r="C7" s="3">
        <f>L9</f>
        <v>46.032789553520836</v>
      </c>
      <c r="D7" t="s">
        <v>83</v>
      </c>
      <c r="E7">
        <f>L2</f>
        <v>100</v>
      </c>
      <c r="F7" t="s">
        <v>84</v>
      </c>
      <c r="G7">
        <v>50</v>
      </c>
      <c r="H7" t="s">
        <v>26</v>
      </c>
      <c r="K7" t="s">
        <v>30</v>
      </c>
      <c r="L7" s="1">
        <v>2000000</v>
      </c>
      <c r="M7" t="s">
        <v>31</v>
      </c>
      <c r="Q7" t="s">
        <v>73</v>
      </c>
      <c r="R7">
        <f>((PI()*(R2^2)*R4)-(PI()*(R3^2)*R4))/4</f>
        <v>17254.339739793104</v>
      </c>
      <c r="S7" t="s">
        <v>74</v>
      </c>
      <c r="T7">
        <f>R7/1000</f>
        <v>17.254339739793103</v>
      </c>
      <c r="U7" t="s">
        <v>66</v>
      </c>
    </row>
    <row r="8" spans="2:25" x14ac:dyDescent="0.25">
      <c r="B8" t="s">
        <v>30</v>
      </c>
      <c r="C8" s="1">
        <f>L7</f>
        <v>2000000</v>
      </c>
      <c r="D8" t="s">
        <v>31</v>
      </c>
      <c r="K8" t="s">
        <v>32</v>
      </c>
      <c r="L8">
        <f>R5</f>
        <v>1.3306425</v>
      </c>
      <c r="M8" t="s">
        <v>36</v>
      </c>
    </row>
    <row r="9" spans="2:25" x14ac:dyDescent="0.25">
      <c r="B9" t="s">
        <v>65</v>
      </c>
      <c r="C9" s="18">
        <f>T7</f>
        <v>17.254339739793103</v>
      </c>
      <c r="D9" t="s">
        <v>66</v>
      </c>
      <c r="F9" s="20" t="s">
        <v>99</v>
      </c>
      <c r="G9" s="20"/>
      <c r="H9" s="20"/>
      <c r="K9" t="s">
        <v>33</v>
      </c>
      <c r="L9" s="3">
        <f>L4*100000000/(4.44*L8*L6*L7)</f>
        <v>46.032789553520836</v>
      </c>
      <c r="M9" t="s">
        <v>34</v>
      </c>
      <c r="Q9" t="s">
        <v>117</v>
      </c>
      <c r="R9" s="1">
        <v>1.59E-8</v>
      </c>
      <c r="S9" t="s">
        <v>113</v>
      </c>
    </row>
    <row r="10" spans="2:25" x14ac:dyDescent="0.25">
      <c r="B10" t="s">
        <v>77</v>
      </c>
      <c r="C10" s="3">
        <f>(C8/((C3/C7^3)+(C4/C7^2.3)+(C5/C7^1.65)))+(C6*C7^2*C8^2)</f>
        <v>30.174166912287383</v>
      </c>
      <c r="E10" t="s">
        <v>116</v>
      </c>
      <c r="F10" s="21">
        <f>8.86*0.0000000001*C8^1.14*C7^2.19</f>
        <v>59.255039228355912</v>
      </c>
      <c r="G10" s="20"/>
      <c r="H10" s="20" t="s">
        <v>78</v>
      </c>
      <c r="Q10" t="s">
        <v>79</v>
      </c>
      <c r="R10">
        <v>1.2</v>
      </c>
      <c r="S10" t="s">
        <v>86</v>
      </c>
      <c r="T10">
        <f>R10/1000</f>
        <v>1.1999999999999999E-3</v>
      </c>
      <c r="U10" t="s">
        <v>87</v>
      </c>
      <c r="V10">
        <f>(PI()*T10^2)/4</f>
        <v>1.1309733552923253E-6</v>
      </c>
      <c r="W10" t="s">
        <v>10</v>
      </c>
    </row>
    <row r="11" spans="2:25" x14ac:dyDescent="0.25">
      <c r="B11" t="s">
        <v>114</v>
      </c>
      <c r="C11" s="3">
        <f>C9*C10/1000</f>
        <v>0.52063532726983031</v>
      </c>
      <c r="F11" s="21">
        <f>C9*F10/1000</f>
        <v>1.0224065781408207</v>
      </c>
      <c r="G11" s="20"/>
      <c r="H11" s="20" t="s">
        <v>85</v>
      </c>
      <c r="Q11" t="s">
        <v>75</v>
      </c>
      <c r="R11" s="3"/>
      <c r="T11">
        <f>T6+(T10+T4+(T2-T3))*L6</f>
        <v>0.57219378281978139</v>
      </c>
      <c r="U11" t="s">
        <v>7</v>
      </c>
    </row>
    <row r="12" spans="2:25" x14ac:dyDescent="0.25">
      <c r="B12" t="s">
        <v>112</v>
      </c>
      <c r="C12">
        <f>R14*L5</f>
        <v>7.9007950606528016E-2</v>
      </c>
      <c r="F12" s="20">
        <f>C12</f>
        <v>7.9007950606528016E-2</v>
      </c>
      <c r="G12" s="20"/>
      <c r="H12" s="20" t="s">
        <v>24</v>
      </c>
      <c r="Q12" t="s">
        <v>88</v>
      </c>
      <c r="R12" s="18">
        <f>R9*T11/V10</f>
        <v>8.0442930898959805E-3</v>
      </c>
      <c r="S12" t="s">
        <v>89</v>
      </c>
    </row>
    <row r="13" spans="2:25" x14ac:dyDescent="0.25">
      <c r="B13" t="s">
        <v>115</v>
      </c>
      <c r="C13" s="3">
        <f>C12+C11</f>
        <v>0.59964327787635829</v>
      </c>
      <c r="F13" s="21">
        <f>F12+F11</f>
        <v>1.1014145287473487</v>
      </c>
      <c r="G13" s="20"/>
      <c r="H13" s="20" t="s">
        <v>24</v>
      </c>
      <c r="L13" s="13"/>
      <c r="Q13" t="s">
        <v>90</v>
      </c>
      <c r="R13">
        <f>SQRT(2*R9/((2*PI()*L7)*(4*PI()*0.0000001*0.999991)))</f>
        <v>4.4875122828592939E-5</v>
      </c>
      <c r="S13" t="s">
        <v>87</v>
      </c>
      <c r="T13" s="19">
        <f>R13*1000</f>
        <v>4.4875122828592941E-2</v>
      </c>
      <c r="U13" t="s">
        <v>91</v>
      </c>
    </row>
    <row r="14" spans="2:25" x14ac:dyDescent="0.25">
      <c r="B14" t="s">
        <v>49</v>
      </c>
      <c r="C14" s="3">
        <f>(C13*1000/V19)^0.833</f>
        <v>8.1126253741197427</v>
      </c>
      <c r="F14" s="21">
        <f>(F13*1000/V19)^0.833</f>
        <v>13.462372249964853</v>
      </c>
      <c r="G14" s="20"/>
      <c r="H14" s="20" t="s">
        <v>50</v>
      </c>
      <c r="Q14" t="s">
        <v>92</v>
      </c>
      <c r="R14" s="18">
        <f>T11*R9/(2*PI()*(T10/2)*R13-PI()*R13^2)</f>
        <v>5.5867057641527752E-2</v>
      </c>
      <c r="S14" t="s">
        <v>89</v>
      </c>
    </row>
    <row r="17" spans="2:23" x14ac:dyDescent="0.25">
      <c r="B17" t="s">
        <v>67</v>
      </c>
      <c r="M17" s="11"/>
      <c r="Q17" t="s">
        <v>40</v>
      </c>
      <c r="T17">
        <f>(PI()*T2^2)/4-(PI()*T3^2)/4</f>
        <v>1.2350994803001505E-3</v>
      </c>
      <c r="U17" t="s">
        <v>10</v>
      </c>
    </row>
    <row r="18" spans="2:23" x14ac:dyDescent="0.25">
      <c r="B18" t="s">
        <v>68</v>
      </c>
      <c r="C18" s="1">
        <v>1000000000</v>
      </c>
      <c r="Q18" s="10" t="s">
        <v>39</v>
      </c>
      <c r="R18" s="10"/>
      <c r="S18" s="10"/>
      <c r="T18" s="10">
        <f>(T2+T3)*PI()*T4</f>
        <v>3.622958475547109E-3</v>
      </c>
      <c r="U18" s="10" t="s">
        <v>10</v>
      </c>
      <c r="V18" s="10"/>
      <c r="W18" s="10"/>
    </row>
    <row r="19" spans="2:23" x14ac:dyDescent="0.25">
      <c r="B19" t="s">
        <v>69</v>
      </c>
      <c r="C19" s="1">
        <v>110000000</v>
      </c>
      <c r="K19" s="1"/>
      <c r="Q19" t="s">
        <v>41</v>
      </c>
      <c r="T19">
        <f>T18+T17</f>
        <v>4.8580579558472597E-3</v>
      </c>
      <c r="U19" t="s">
        <v>35</v>
      </c>
      <c r="V19">
        <f>T19*10000</f>
        <v>48.5805795584726</v>
      </c>
      <c r="W19" t="s">
        <v>36</v>
      </c>
    </row>
    <row r="20" spans="2:23" x14ac:dyDescent="0.25">
      <c r="B20" t="s">
        <v>70</v>
      </c>
      <c r="C20" s="1">
        <v>1900000</v>
      </c>
    </row>
    <row r="21" spans="2:23" x14ac:dyDescent="0.25">
      <c r="B21" t="s">
        <v>71</v>
      </c>
      <c r="C21" s="1">
        <v>1.9E-13</v>
      </c>
      <c r="L21" s="4"/>
      <c r="M21" s="1"/>
      <c r="Q21" t="s">
        <v>117</v>
      </c>
      <c r="R21" s="1">
        <v>1.59E-8</v>
      </c>
      <c r="S21" t="s">
        <v>113</v>
      </c>
    </row>
    <row r="22" spans="2:23" x14ac:dyDescent="0.25">
      <c r="Q22" t="s">
        <v>76</v>
      </c>
      <c r="R22" s="1">
        <v>1.7199999999999999E-8</v>
      </c>
      <c r="S22" t="s">
        <v>113</v>
      </c>
    </row>
    <row r="23" spans="2:23" x14ac:dyDescent="0.25">
      <c r="B23" t="s">
        <v>93</v>
      </c>
    </row>
    <row r="24" spans="2:23" x14ac:dyDescent="0.25">
      <c r="B24" t="s">
        <v>5</v>
      </c>
      <c r="C24">
        <f>1.3*25.4</f>
        <v>33.019999999999996</v>
      </c>
      <c r="D24" t="s">
        <v>91</v>
      </c>
    </row>
    <row r="25" spans="2:23" x14ac:dyDescent="0.25">
      <c r="B25" t="s">
        <v>8</v>
      </c>
      <c r="C25">
        <f>0.78*25.4</f>
        <v>19.812000000000001</v>
      </c>
      <c r="D25" t="s">
        <v>91</v>
      </c>
    </row>
    <row r="26" spans="2:23" x14ac:dyDescent="0.25">
      <c r="B26" t="s">
        <v>1</v>
      </c>
      <c r="C26">
        <f>0.437*25.4</f>
        <v>11.0998</v>
      </c>
      <c r="D26" t="s">
        <v>91</v>
      </c>
    </row>
    <row r="28" spans="2:23" x14ac:dyDescent="0.25">
      <c r="B28" t="s">
        <v>94</v>
      </c>
    </row>
    <row r="29" spans="2:23" x14ac:dyDescent="0.25">
      <c r="B29" t="s">
        <v>5</v>
      </c>
      <c r="C29">
        <f>2*25.4</f>
        <v>50.8</v>
      </c>
      <c r="D29" t="s">
        <v>91</v>
      </c>
    </row>
    <row r="30" spans="2:23" x14ac:dyDescent="0.25">
      <c r="B30" t="s">
        <v>8</v>
      </c>
      <c r="C30">
        <f>1.25*25.4</f>
        <v>31.75</v>
      </c>
      <c r="D30" t="s">
        <v>91</v>
      </c>
    </row>
    <row r="31" spans="2:23" x14ac:dyDescent="0.25">
      <c r="B31" t="s">
        <v>1</v>
      </c>
      <c r="C31">
        <f>0.55*25.4</f>
        <v>13.97</v>
      </c>
      <c r="D31" t="s">
        <v>91</v>
      </c>
    </row>
    <row r="33" spans="2:4" x14ac:dyDescent="0.25">
      <c r="B33" t="s">
        <v>95</v>
      </c>
    </row>
    <row r="34" spans="2:4" x14ac:dyDescent="0.25">
      <c r="B34" t="s">
        <v>5</v>
      </c>
      <c r="C34">
        <f>2*25.4</f>
        <v>50.8</v>
      </c>
      <c r="D34" t="s">
        <v>91</v>
      </c>
    </row>
    <row r="35" spans="2:4" x14ac:dyDescent="0.25">
      <c r="B35" t="s">
        <v>8</v>
      </c>
      <c r="C35">
        <f>1.25*25.4</f>
        <v>31.75</v>
      </c>
      <c r="D35" t="s">
        <v>91</v>
      </c>
    </row>
    <row r="36" spans="2:4" x14ac:dyDescent="0.25">
      <c r="B36" t="s">
        <v>1</v>
      </c>
      <c r="C36">
        <f>1*25.4</f>
        <v>25.4</v>
      </c>
      <c r="D36" t="s">
        <v>91</v>
      </c>
    </row>
  </sheetData>
  <phoneticPr fontId="7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219D2-C4A6-473B-BC04-BF829AC4AEBF}">
  <dimension ref="B3:F10"/>
  <sheetViews>
    <sheetView workbookViewId="0">
      <selection activeCell="D11" sqref="D11"/>
    </sheetView>
  </sheetViews>
  <sheetFormatPr defaultRowHeight="15" x14ac:dyDescent="0.25"/>
  <cols>
    <col min="2" max="2" width="10.28515625" bestFit="1" customWidth="1"/>
    <col min="3" max="3" width="12" bestFit="1" customWidth="1"/>
    <col min="5" max="5" width="11" bestFit="1" customWidth="1"/>
  </cols>
  <sheetData>
    <row r="3" spans="2:6" x14ac:dyDescent="0.25">
      <c r="B3" t="s">
        <v>100</v>
      </c>
      <c r="C3">
        <v>7390</v>
      </c>
      <c r="D3" t="s">
        <v>4</v>
      </c>
    </row>
    <row r="4" spans="2:6" x14ac:dyDescent="0.25">
      <c r="B4" t="s">
        <v>25</v>
      </c>
      <c r="C4">
        <v>50</v>
      </c>
      <c r="D4" s="14" t="s">
        <v>89</v>
      </c>
    </row>
    <row r="5" spans="2:6" x14ac:dyDescent="0.25">
      <c r="B5" t="s">
        <v>118</v>
      </c>
      <c r="C5">
        <v>17200</v>
      </c>
      <c r="D5" t="s">
        <v>31</v>
      </c>
    </row>
    <row r="6" spans="2:6" x14ac:dyDescent="0.25">
      <c r="B6" t="s">
        <v>102</v>
      </c>
      <c r="C6">
        <f>C4/(2*PI()*C5)</f>
        <v>4.6265971829039345E-4</v>
      </c>
      <c r="D6" t="s">
        <v>120</v>
      </c>
      <c r="E6">
        <f>C6*1000000000</f>
        <v>462659.71829039347</v>
      </c>
      <c r="F6" t="s">
        <v>121</v>
      </c>
    </row>
    <row r="7" spans="2:6" x14ac:dyDescent="0.25">
      <c r="B7" t="s">
        <v>119</v>
      </c>
      <c r="C7" s="22">
        <f>SQRT(E6/C3)</f>
        <v>7.912407124731117</v>
      </c>
    </row>
    <row r="9" spans="2:6" x14ac:dyDescent="0.25">
      <c r="B9" t="s">
        <v>122</v>
      </c>
    </row>
    <row r="10" spans="2:6" x14ac:dyDescent="0.25">
      <c r="B10" t="s">
        <v>123</v>
      </c>
      <c r="C10">
        <f>(1/(2*PI()*C5))^2/C6</f>
        <v>1.8506388731615733E-7</v>
      </c>
      <c r="D10" t="s">
        <v>124</v>
      </c>
      <c r="E10">
        <f>C10*1000000000</f>
        <v>185.06388731615732</v>
      </c>
      <c r="F10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BF2CF-1105-40C2-9681-DED004269D1B}">
  <dimension ref="B3:G16"/>
  <sheetViews>
    <sheetView workbookViewId="0">
      <selection activeCell="G12" sqref="G12"/>
    </sheetView>
  </sheetViews>
  <sheetFormatPr defaultRowHeight="15" x14ac:dyDescent="0.25"/>
  <cols>
    <col min="3" max="3" width="14.140625" customWidth="1"/>
  </cols>
  <sheetData>
    <row r="3" spans="2:7" x14ac:dyDescent="0.25">
      <c r="B3" t="s">
        <v>100</v>
      </c>
      <c r="C3" s="1">
        <v>1.2E-8</v>
      </c>
    </row>
    <row r="4" spans="2:7" x14ac:dyDescent="0.25">
      <c r="B4" t="s">
        <v>27</v>
      </c>
      <c r="C4">
        <v>35</v>
      </c>
    </row>
    <row r="5" spans="2:7" x14ac:dyDescent="0.25">
      <c r="B5" t="s">
        <v>102</v>
      </c>
      <c r="C5" s="15">
        <f>C4^2*C3</f>
        <v>1.47E-5</v>
      </c>
      <c r="D5" t="s">
        <v>1</v>
      </c>
    </row>
    <row r="7" spans="2:7" x14ac:dyDescent="0.25">
      <c r="B7" t="s">
        <v>30</v>
      </c>
      <c r="C7" s="1">
        <v>10227000</v>
      </c>
      <c r="D7" t="s">
        <v>31</v>
      </c>
    </row>
    <row r="8" spans="2:7" x14ac:dyDescent="0.25">
      <c r="B8" t="s">
        <v>101</v>
      </c>
      <c r="C8" s="15">
        <f>2*PI()*C7*C5</f>
        <v>944.59460120692677</v>
      </c>
      <c r="D8" t="s">
        <v>26</v>
      </c>
    </row>
    <row r="9" spans="2:7" x14ac:dyDescent="0.25">
      <c r="C9" s="1"/>
    </row>
    <row r="10" spans="2:7" x14ac:dyDescent="0.25">
      <c r="B10" t="s">
        <v>109</v>
      </c>
      <c r="C10" s="1"/>
    </row>
    <row r="12" spans="2:7" x14ac:dyDescent="0.25">
      <c r="B12" t="s">
        <v>104</v>
      </c>
      <c r="C12">
        <v>40259</v>
      </c>
      <c r="D12" s="14" t="s">
        <v>89</v>
      </c>
      <c r="F12" t="s">
        <v>106</v>
      </c>
      <c r="G12">
        <v>22.15</v>
      </c>
    </row>
    <row r="14" spans="2:7" x14ac:dyDescent="0.25">
      <c r="B14" t="s">
        <v>103</v>
      </c>
      <c r="C14" s="3">
        <f>C12/C8</f>
        <v>42.620400273895591</v>
      </c>
      <c r="F14" s="4" t="s">
        <v>108</v>
      </c>
      <c r="G14" s="3">
        <f>C14</f>
        <v>42.620400273895591</v>
      </c>
    </row>
    <row r="16" spans="2:7" x14ac:dyDescent="0.25">
      <c r="B16" t="s">
        <v>105</v>
      </c>
      <c r="C16" s="3">
        <f>C12/(1+C14^2)</f>
        <v>22.150774577202171</v>
      </c>
      <c r="D16" s="14" t="s">
        <v>89</v>
      </c>
      <c r="F16" t="s">
        <v>107</v>
      </c>
      <c r="G16">
        <f>G12*(1+G14^2)</f>
        <v>40257.592207081805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XL to μr</vt:lpstr>
      <vt:lpstr>Core loss (ferrite)</vt:lpstr>
      <vt:lpstr>Core loss (iron)</vt:lpstr>
      <vt:lpstr>Reqd turns</vt:lpstr>
      <vt:lpstr>S-P conversion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Harold</cp:lastModifiedBy>
  <dcterms:created xsi:type="dcterms:W3CDTF">2022-10-02T09:28:20Z</dcterms:created>
  <dcterms:modified xsi:type="dcterms:W3CDTF">2022-11-17T15:03:08Z</dcterms:modified>
</cp:coreProperties>
</file>